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amu\Documents\サークル\プロジェクト\DCDC\LLC\"/>
    </mc:Choice>
  </mc:AlternateContent>
  <xr:revisionPtr revIDLastSave="0" documentId="13_ncr:1_{4F72FC39-0DFF-46D1-9D25-F9EF99ECCB72}" xr6:coauthVersionLast="43" xr6:coauthVersionMax="43" xr10:uidLastSave="{00000000-0000-0000-0000-000000000000}"/>
  <bookViews>
    <workbookView xWindow="-120" yWindow="-120" windowWidth="29040" windowHeight="15840" xr2:uid="{FCD2F80E-A566-4B9E-8487-127D7EE44E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" l="1"/>
  <c r="F4" i="1" l="1"/>
  <c r="H29" i="1" l="1"/>
  <c r="H3" i="1" l="1"/>
  <c r="F2" i="1"/>
  <c r="F3" i="1" s="1"/>
  <c r="F5" i="1" l="1"/>
  <c r="F6" i="1" s="1"/>
  <c r="F7" i="1" l="1"/>
  <c r="C24" i="1"/>
  <c r="H4" i="1"/>
  <c r="H2" i="1"/>
  <c r="F8" i="1" l="1"/>
  <c r="H5" i="1" s="1"/>
  <c r="H6" i="1" s="1"/>
  <c r="F9" i="1" s="1"/>
  <c r="B24" i="1" l="1"/>
  <c r="F10" i="1" s="1"/>
  <c r="R12" i="1"/>
  <c r="R14" i="1" s="1"/>
  <c r="R15" i="1" s="1"/>
  <c r="R16" i="1" s="1"/>
  <c r="H10" i="1"/>
  <c r="B25" i="1" l="1"/>
</calcChain>
</file>

<file path=xl/sharedStrings.xml><?xml version="1.0" encoding="utf-8"?>
<sst xmlns="http://schemas.openxmlformats.org/spreadsheetml/2006/main" count="64" uniqueCount="64">
  <si>
    <t>fr</t>
    <phoneticPr fontId="1"/>
  </si>
  <si>
    <t>D</t>
    <phoneticPr fontId="1"/>
  </si>
  <si>
    <t>Vo[V]</t>
    <phoneticPr fontId="1"/>
  </si>
  <si>
    <t>Io[A]</t>
    <phoneticPr fontId="1"/>
  </si>
  <si>
    <t>Vf[V]</t>
    <phoneticPr fontId="1"/>
  </si>
  <si>
    <t>Ae[mm^2]</t>
    <phoneticPr fontId="1"/>
  </si>
  <si>
    <t>B[T]</t>
    <phoneticPr fontId="1"/>
  </si>
  <si>
    <t>ALleak[nH/N^2]</t>
    <phoneticPr fontId="1"/>
  </si>
  <si>
    <t>Ns</t>
    <phoneticPr fontId="1"/>
  </si>
  <si>
    <t>n</t>
    <phoneticPr fontId="1"/>
  </si>
  <si>
    <t>Np</t>
    <phoneticPr fontId="1"/>
  </si>
  <si>
    <t>Vimin[V]</t>
    <phoneticPr fontId="1"/>
  </si>
  <si>
    <t>Vimax[V]</t>
    <phoneticPr fontId="1"/>
  </si>
  <si>
    <t>|Vout'|/|Vin'|</t>
    <phoneticPr fontId="1"/>
  </si>
  <si>
    <t>S(=Lm/Lr)</t>
    <phoneticPr fontId="1"/>
  </si>
  <si>
    <t>F(=f/fr)</t>
    <phoneticPr fontId="1"/>
  </si>
  <si>
    <t>RL'(=8/pi^2*(Np/Ns)^2*Vo/Io)</t>
    <phoneticPr fontId="1"/>
  </si>
  <si>
    <t>Ns'</t>
    <phoneticPr fontId="1"/>
  </si>
  <si>
    <t>Np'</t>
    <phoneticPr fontId="1"/>
  </si>
  <si>
    <t>Q(=√(Lr/Cr)/RL')</t>
    <phoneticPr fontId="1"/>
  </si>
  <si>
    <t>Lr[uH]</t>
    <phoneticPr fontId="1"/>
  </si>
  <si>
    <t>Cr[uF]</t>
    <phoneticPr fontId="1"/>
  </si>
  <si>
    <t>PQ26/20(PC44)</t>
    <phoneticPr fontId="1"/>
  </si>
  <si>
    <t>AL vs GAP</t>
    <phoneticPr fontId="1"/>
  </si>
  <si>
    <t>AL_Lm</t>
    <phoneticPr fontId="1"/>
  </si>
  <si>
    <t>Center Pole GAP[mm]</t>
    <phoneticPr fontId="1"/>
  </si>
  <si>
    <t>NI vs AL</t>
    <phoneticPr fontId="1"/>
  </si>
  <si>
    <t>NI</t>
    <phoneticPr fontId="1"/>
  </si>
  <si>
    <t>IR21531</t>
    <phoneticPr fontId="1"/>
  </si>
  <si>
    <t>RT1</t>
    <phoneticPr fontId="1"/>
  </si>
  <si>
    <t>RT2</t>
    <phoneticPr fontId="1"/>
  </si>
  <si>
    <t>CT</t>
    <phoneticPr fontId="1"/>
  </si>
  <si>
    <t>1000pF</t>
    <phoneticPr fontId="1"/>
  </si>
  <si>
    <t>10k</t>
    <phoneticPr fontId="1"/>
  </si>
  <si>
    <t>68k</t>
    <phoneticPr fontId="1"/>
  </si>
  <si>
    <t>100k</t>
    <phoneticPr fontId="1"/>
  </si>
  <si>
    <t>LLC Converter</t>
    <phoneticPr fontId="1"/>
  </si>
  <si>
    <t>14k7</t>
    <phoneticPr fontId="1"/>
  </si>
  <si>
    <t>Primary Current[A]</t>
    <phoneticPr fontId="1"/>
  </si>
  <si>
    <t>Efficiency[%]</t>
    <phoneticPr fontId="1"/>
  </si>
  <si>
    <t>I'pri</t>
    <phoneticPr fontId="1"/>
  </si>
  <si>
    <t>2SK3115</t>
    <phoneticPr fontId="1"/>
  </si>
  <si>
    <t>Qg[nC]</t>
    <phoneticPr fontId="1"/>
  </si>
  <si>
    <t>Qgs[nC]</t>
    <phoneticPr fontId="1"/>
  </si>
  <si>
    <t>Qgd[nC]</t>
    <phoneticPr fontId="1"/>
  </si>
  <si>
    <t>Ciss[pF]</t>
    <phoneticPr fontId="1"/>
  </si>
  <si>
    <t>Coss[pF]</t>
    <phoneticPr fontId="1"/>
  </si>
  <si>
    <t>Crss[pF]</t>
    <phoneticPr fontId="1"/>
  </si>
  <si>
    <t>Chb[pF]</t>
    <phoneticPr fontId="1"/>
  </si>
  <si>
    <t>Tch[ns]</t>
    <phoneticPr fontId="1"/>
  </si>
  <si>
    <t>Vgsth[V]</t>
    <phoneticPr fontId="1"/>
  </si>
  <si>
    <t>Tdt[ns]</t>
    <phoneticPr fontId="1"/>
  </si>
  <si>
    <t>t1[ns]</t>
    <phoneticPr fontId="1"/>
  </si>
  <si>
    <t>Rg[ohm]</t>
    <phoneticPr fontId="1"/>
  </si>
  <si>
    <t>fmin[kHz]</t>
    <phoneticPr fontId="1"/>
  </si>
  <si>
    <t>fmin</t>
    <phoneticPr fontId="1"/>
  </si>
  <si>
    <t>fr[kHz] (=fmax)</t>
    <phoneticPr fontId="1"/>
  </si>
  <si>
    <t>Lm1[uH]</t>
    <phoneticPr fontId="1"/>
  </si>
  <si>
    <t>Lm2[uH]</t>
    <phoneticPr fontId="1"/>
  </si>
  <si>
    <t>緑色のセルに値を入力してください。</t>
    <rPh sb="0" eb="2">
      <t>ミドリイロ</t>
    </rPh>
    <rPh sb="6" eb="7">
      <t>アタイ</t>
    </rPh>
    <rPh sb="8" eb="10">
      <t>ニュウリョク</t>
    </rPh>
    <phoneticPr fontId="1"/>
  </si>
  <si>
    <t>ゲート抵抗の値によってソフトスイッチングを実現します。</t>
  </si>
  <si>
    <t>直流重畳特性です。オレンジ色の点が青い線を上回らないように設計しましょう。</t>
    <rPh sb="0" eb="2">
      <t>チョクリュウ</t>
    </rPh>
    <rPh sb="2" eb="4">
      <t>チョウジョウ</t>
    </rPh>
    <rPh sb="4" eb="6">
      <t>トクセイ</t>
    </rPh>
    <rPh sb="13" eb="14">
      <t>イロ</t>
    </rPh>
    <rPh sb="15" eb="16">
      <t>テン</t>
    </rPh>
    <rPh sb="17" eb="18">
      <t>アオ</t>
    </rPh>
    <rPh sb="19" eb="20">
      <t>セン</t>
    </rPh>
    <rPh sb="21" eb="23">
      <t>ウワマワ</t>
    </rPh>
    <rPh sb="29" eb="31">
      <t>セッケイ</t>
    </rPh>
    <phoneticPr fontId="1"/>
  </si>
  <si>
    <t>トランスの種類によって以下のパラメータを変更する必要があります。</t>
    <rPh sb="5" eb="7">
      <t>シュルイ</t>
    </rPh>
    <rPh sb="11" eb="13">
      <t>イカ</t>
    </rPh>
    <rPh sb="20" eb="22">
      <t>ヘンコウ</t>
    </rPh>
    <rPh sb="24" eb="26">
      <t>ヒツヨウ</t>
    </rPh>
    <phoneticPr fontId="1"/>
  </si>
  <si>
    <t>IR21531のデッドタイム固定のためゲート抵抗で調節します。</t>
    <rPh sb="14" eb="16">
      <t>コテイ</t>
    </rPh>
    <rPh sb="22" eb="24">
      <t>テイコウ</t>
    </rPh>
    <rPh sb="25" eb="27">
      <t>チョウセツ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</si>
</sst>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" xfId="0" applyFill="1" applyBorder="1">
      <alignment vertical="center"/>
    </xf>
    <xf numFmtId="11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0" borderId="3" xfId="0" applyBorder="1">
      <alignment vertical="center"/>
    </xf>
    <xf numFmtId="0" fontId="0" fillId="5" borderId="1" xfId="0" applyFill="1" applyBorder="1">
      <alignment vertical="center"/>
    </xf>
    <xf numFmtId="0" fontId="0" fillId="5" borderId="4" xfId="0" applyFill="1" applyBorder="1">
      <alignment vertical="center"/>
    </xf>
    <xf numFmtId="0" fontId="0" fillId="0" borderId="4" xfId="0" applyBorder="1">
      <alignment vertical="center"/>
    </xf>
    <xf numFmtId="0" fontId="0" fillId="5" borderId="5" xfId="0" applyFill="1" applyBorder="1">
      <alignment vertical="center"/>
    </xf>
    <xf numFmtId="0" fontId="0" fillId="0" borderId="6" xfId="0" applyBorder="1">
      <alignment vertical="center"/>
    </xf>
    <xf numFmtId="0" fontId="2" fillId="2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AL</a:t>
            </a:r>
            <a:r>
              <a:rPr lang="en-US" altLang="ja-JP" baseline="0"/>
              <a:t> vs Center Pole GAP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AL vs GAP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0.12958486439195099"/>
                  <c:y val="9.9840332458442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Sheet1!$A$20:$A$21</c:f>
              <c:numCache>
                <c:formatCode>General</c:formatCode>
                <c:ptCount val="2"/>
                <c:pt idx="0">
                  <c:v>0.1</c:v>
                </c:pt>
                <c:pt idx="1">
                  <c:v>2</c:v>
                </c:pt>
              </c:numCache>
            </c:numRef>
          </c:xVal>
          <c:yVal>
            <c:numRef>
              <c:f>Sheet1!$B$20:$B$21</c:f>
              <c:numCache>
                <c:formatCode>General</c:formatCode>
                <c:ptCount val="2"/>
                <c:pt idx="0">
                  <c:v>1200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80-4D4E-8796-73F5AC235B9E}"/>
            </c:ext>
          </c:extLst>
        </c:ser>
        <c:ser>
          <c:idx val="1"/>
          <c:order val="1"/>
          <c:tx>
            <c:v>AL_Lm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Sheet1!$A$24:$A$25</c:f>
              <c:numCache>
                <c:formatCode>General</c:formatCode>
                <c:ptCount val="2"/>
                <c:pt idx="0">
                  <c:v>0.1</c:v>
                </c:pt>
                <c:pt idx="1">
                  <c:v>2</c:v>
                </c:pt>
              </c:numCache>
            </c:numRef>
          </c:xVal>
          <c:yVal>
            <c:numRef>
              <c:f>Sheet1!$B$24:$B$25</c:f>
              <c:numCache>
                <c:formatCode>General</c:formatCode>
                <c:ptCount val="2"/>
                <c:pt idx="0">
                  <c:v>428.22407934306688</c:v>
                </c:pt>
                <c:pt idx="1">
                  <c:v>428.22407934306688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80-4D4E-8796-73F5AC23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447376"/>
        <c:axId val="563448032"/>
      </c:scatterChart>
      <c:valAx>
        <c:axId val="563447376"/>
        <c:scaling>
          <c:logBase val="2"/>
          <c:orientation val="minMax"/>
          <c:max val="5"/>
          <c:min val="4.0000000000000008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GAP[mm]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448032"/>
        <c:crosses val="autoZero"/>
        <c:crossBetween val="midCat"/>
      </c:valAx>
      <c:valAx>
        <c:axId val="563448032"/>
        <c:scaling>
          <c:logBase val="2"/>
          <c:orientation val="minMax"/>
          <c:max val="2048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Al[nH/N^2]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44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NI vs 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NI vs 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Sheet1!$A$28:$A$29</c:f>
              <c:numCache>
                <c:formatCode>0.00E+00</c:formatCode>
                <c:ptCount val="2"/>
                <c:pt idx="0">
                  <c:v>100</c:v>
                </c:pt>
                <c:pt idx="1">
                  <c:v>1000</c:v>
                </c:pt>
              </c:numCache>
            </c:numRef>
          </c:xVal>
          <c:yVal>
            <c:numRef>
              <c:f>Sheet1!$B$28:$B$29</c:f>
              <c:numCache>
                <c:formatCode>General</c:formatCode>
                <c:ptCount val="2"/>
                <c:pt idx="0" formatCode="0.00E+00">
                  <c:v>400</c:v>
                </c:pt>
                <c:pt idx="1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E1-4F40-81D4-44934AE6FDE0}"/>
            </c:ext>
          </c:extLst>
        </c:ser>
        <c:ser>
          <c:idx val="1"/>
          <c:order val="1"/>
          <c:tx>
            <c:v>limit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Sheet1!$B$24</c:f>
              <c:numCache>
                <c:formatCode>General</c:formatCode>
                <c:ptCount val="1"/>
                <c:pt idx="0">
                  <c:v>428.22407934306688</c:v>
                </c:pt>
              </c:numCache>
            </c:numRef>
          </c:xVal>
          <c:yVal>
            <c:numRef>
              <c:f>Sheet1!$C$24</c:f>
              <c:numCache>
                <c:formatCode>General</c:formatCode>
                <c:ptCount val="1"/>
                <c:pt idx="0">
                  <c:v>30.694444444444446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E1-4F40-81D4-44934AE6F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620304"/>
        <c:axId val="572620632"/>
      </c:scatterChart>
      <c:valAx>
        <c:axId val="572620304"/>
        <c:scaling>
          <c:logBase val="2"/>
          <c:orientation val="minMax"/>
          <c:max val="120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AL[nh/N^2]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620632"/>
        <c:crosses val="autoZero"/>
        <c:crossBetween val="midCat"/>
      </c:valAx>
      <c:valAx>
        <c:axId val="572620632"/>
        <c:scaling>
          <c:logBase val="2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NI</a:t>
                </a:r>
                <a:r>
                  <a:rPr lang="en-US" altLang="ja-JP" baseline="0"/>
                  <a:t> limit[AT]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62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69757</xdr:colOff>
      <xdr:row>13</xdr:row>
      <xdr:rowOff>199297</xdr:rowOff>
    </xdr:from>
    <xdr:to>
      <xdr:col>7</xdr:col>
      <xdr:colOff>503466</xdr:colOff>
      <xdr:row>27</xdr:row>
      <xdr:rowOff>91208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6AC5E6-6321-45FC-B08B-89ECDB345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262530</xdr:colOff>
      <xdr:row>17</xdr:row>
      <xdr:rowOff>154323</xdr:rowOff>
    </xdr:from>
    <xdr:to>
      <xdr:col>14</xdr:col>
      <xdr:colOff>646636</xdr:colOff>
      <xdr:row>29</xdr:row>
      <xdr:rowOff>15174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06AF331-7C0B-4EAD-9731-67177D346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238125</xdr:colOff>
      <xdr:row>0</xdr:row>
      <xdr:rowOff>190499</xdr:rowOff>
    </xdr:from>
    <xdr:to>
      <xdr:col>16</xdr:col>
      <xdr:colOff>595996</xdr:colOff>
      <xdr:row>10</xdr:row>
      <xdr:rowOff>166686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526D3D8-3158-41EE-9459-A961FD6BE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190499"/>
          <a:ext cx="5929997" cy="2357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FF08-53ED-4B86-9DC9-76A7FFED13B9}">
  <dimension ref="A1:R31"/>
  <sheetViews>
    <sheetView tabSelected="1" zoomScale="70" zoomScaleNormal="70" workbookViewId="0">
      <selection activeCell="B12" sqref="B12"/>
    </sheetView>
  </sheetViews>
  <sheetFormatPr defaultRowHeight="18.75" x14ac:dyDescent="0.4"/>
  <cols>
    <col min="1" max="1" width="16.25" bestFit="1" customWidth="1"/>
    <col min="2" max="2" width="9.5" bestFit="1" customWidth="1"/>
    <col min="5" max="5" width="10.875" customWidth="1"/>
    <col min="6" max="6" width="13.375" bestFit="1" customWidth="1"/>
    <col min="7" max="7" width="30.25" bestFit="1" customWidth="1"/>
    <col min="10" max="11" width="9.5" bestFit="1" customWidth="1"/>
    <col min="17" max="17" width="8.5" customWidth="1"/>
    <col min="18" max="18" width="9.375" bestFit="1" customWidth="1"/>
  </cols>
  <sheetData>
    <row r="1" spans="1:18" x14ac:dyDescent="0.4">
      <c r="A1" t="s">
        <v>36</v>
      </c>
    </row>
    <row r="2" spans="1:18" x14ac:dyDescent="0.4">
      <c r="A2" s="2" t="s">
        <v>12</v>
      </c>
      <c r="B2" s="1">
        <v>140</v>
      </c>
      <c r="E2" s="4" t="s">
        <v>17</v>
      </c>
      <c r="F2" s="1">
        <f>((B4+B6)*B9/B7*1000)/(2*B14*B15)</f>
        <v>2.0081562036579337</v>
      </c>
      <c r="G2" s="3" t="s">
        <v>13</v>
      </c>
      <c r="H2" s="1">
        <f>(B4+B6)/(F3/F6*B3/2)</f>
        <v>1.1510416666666665</v>
      </c>
    </row>
    <row r="3" spans="1:18" x14ac:dyDescent="0.4">
      <c r="A3" s="2" t="s">
        <v>11</v>
      </c>
      <c r="B3" s="1">
        <v>128</v>
      </c>
      <c r="E3" s="4" t="s">
        <v>8</v>
      </c>
      <c r="F3" s="1">
        <f>ROUNDUP(F2,0)</f>
        <v>3</v>
      </c>
      <c r="G3" s="3" t="s">
        <v>15</v>
      </c>
      <c r="H3" s="1">
        <f>B7/B8</f>
        <v>0.68</v>
      </c>
    </row>
    <row r="4" spans="1:18" x14ac:dyDescent="0.4">
      <c r="A4" s="2" t="s">
        <v>2</v>
      </c>
      <c r="B4" s="1">
        <v>12</v>
      </c>
      <c r="E4" s="4" t="s">
        <v>9</v>
      </c>
      <c r="F4" s="1">
        <f>(B2/2)/(B4+B6)</f>
        <v>5.384615384615385</v>
      </c>
      <c r="G4" s="3" t="s">
        <v>16</v>
      </c>
      <c r="H4" s="1">
        <f>8/PI()^2*(F6/F3)^2*B4/B5</f>
        <v>39.042429430180825</v>
      </c>
    </row>
    <row r="5" spans="1:18" x14ac:dyDescent="0.4">
      <c r="A5" s="2" t="s">
        <v>3</v>
      </c>
      <c r="B5" s="1">
        <v>8</v>
      </c>
      <c r="E5" s="4" t="s">
        <v>18</v>
      </c>
      <c r="F5" s="1">
        <f>F4*F3</f>
        <v>16.153846153846153</v>
      </c>
      <c r="G5" s="3" t="s">
        <v>19</v>
      </c>
      <c r="H5" s="1">
        <f>SQRT(F7/F8)/H4</f>
        <v>0.19533954308588883</v>
      </c>
    </row>
    <row r="6" spans="1:18" x14ac:dyDescent="0.4">
      <c r="A6" s="2" t="s">
        <v>4</v>
      </c>
      <c r="B6" s="1">
        <v>1</v>
      </c>
      <c r="E6" s="4" t="s">
        <v>10</v>
      </c>
      <c r="F6" s="1">
        <f>ROUNDUP(F5,0)</f>
        <v>17</v>
      </c>
      <c r="G6" s="3" t="s">
        <v>14</v>
      </c>
      <c r="H6" s="1">
        <f>(H3^2-1)/(H3^2*(SQRT(1/H2^2-H5^2*(H3-1/H3))-1))</f>
        <v>10.195811412930164</v>
      </c>
    </row>
    <row r="7" spans="1:18" x14ac:dyDescent="0.4">
      <c r="A7" s="2" t="s">
        <v>54</v>
      </c>
      <c r="B7" s="1">
        <v>68</v>
      </c>
      <c r="E7" s="4" t="s">
        <v>20</v>
      </c>
      <c r="F7" s="1">
        <f>F6^2*B16/1000</f>
        <v>12.138</v>
      </c>
    </row>
    <row r="8" spans="1:18" x14ac:dyDescent="0.4">
      <c r="A8" s="2" t="s">
        <v>56</v>
      </c>
      <c r="B8" s="1">
        <v>100</v>
      </c>
      <c r="E8" s="4" t="s">
        <v>21</v>
      </c>
      <c r="F8" s="1">
        <f>1/F7*1/(B8/1000*2*PI())^2</f>
        <v>0.20868591127520553</v>
      </c>
    </row>
    <row r="9" spans="1:18" x14ac:dyDescent="0.4">
      <c r="A9" s="2" t="s">
        <v>1</v>
      </c>
      <c r="B9" s="1">
        <v>0.5</v>
      </c>
      <c r="E9" s="4" t="s">
        <v>57</v>
      </c>
      <c r="F9" s="1">
        <f>F7*H6</f>
        <v>123.75675893014633</v>
      </c>
    </row>
    <row r="10" spans="1:18" ht="19.5" thickBot="1" x14ac:dyDescent="0.45">
      <c r="E10" s="4" t="s">
        <v>58</v>
      </c>
      <c r="F10" s="1">
        <f>B24*F3^2/1000</f>
        <v>3.854016714087602</v>
      </c>
      <c r="G10" s="4" t="s">
        <v>25</v>
      </c>
      <c r="H10" s="1">
        <f>(1/177.7*B24)^(1/(-0.829))</f>
        <v>0.34611751323284035</v>
      </c>
    </row>
    <row r="11" spans="1:18" ht="54.75" thickBot="1" x14ac:dyDescent="0.45">
      <c r="A11" s="13" t="s">
        <v>59</v>
      </c>
    </row>
    <row r="12" spans="1:18" x14ac:dyDescent="0.4">
      <c r="I12" s="1" t="s">
        <v>28</v>
      </c>
      <c r="J12" s="1"/>
      <c r="K12" s="1"/>
      <c r="L12" s="1"/>
      <c r="M12" s="1" t="s">
        <v>41</v>
      </c>
      <c r="N12" s="1"/>
      <c r="O12" s="2" t="s">
        <v>50</v>
      </c>
      <c r="P12" s="7">
        <v>3</v>
      </c>
      <c r="Q12" s="8" t="s">
        <v>40</v>
      </c>
      <c r="R12" s="1">
        <f>F4*B4/(4*B8*1000*(F9+F7)*10^(-6))</f>
        <v>1.1887026608693332</v>
      </c>
    </row>
    <row r="13" spans="1:18" x14ac:dyDescent="0.4">
      <c r="A13" s="1" t="s">
        <v>22</v>
      </c>
      <c r="C13" t="s">
        <v>62</v>
      </c>
      <c r="I13" s="6" t="s">
        <v>29</v>
      </c>
      <c r="J13" s="1" t="s">
        <v>33</v>
      </c>
      <c r="K13" s="6" t="s">
        <v>55</v>
      </c>
      <c r="L13" s="1" t="s">
        <v>34</v>
      </c>
      <c r="M13" s="2" t="s">
        <v>45</v>
      </c>
      <c r="N13" s="1">
        <v>1100</v>
      </c>
      <c r="O13" s="2" t="s">
        <v>42</v>
      </c>
      <c r="P13" s="7">
        <v>26</v>
      </c>
      <c r="Q13" s="8" t="s">
        <v>48</v>
      </c>
      <c r="R13" s="1">
        <f>N13+2*N14+N15</f>
        <v>1520</v>
      </c>
    </row>
    <row r="14" spans="1:18" x14ac:dyDescent="0.4">
      <c r="A14" s="1" t="s">
        <v>5</v>
      </c>
      <c r="B14" s="1">
        <v>119</v>
      </c>
      <c r="I14" s="6" t="s">
        <v>30</v>
      </c>
      <c r="J14" s="1" t="s">
        <v>37</v>
      </c>
      <c r="K14" s="6" t="s">
        <v>0</v>
      </c>
      <c r="L14" s="1" t="s">
        <v>35</v>
      </c>
      <c r="M14" s="2" t="s">
        <v>46</v>
      </c>
      <c r="N14" s="1">
        <v>200</v>
      </c>
      <c r="O14" s="2" t="s">
        <v>44</v>
      </c>
      <c r="P14" s="7">
        <v>6</v>
      </c>
      <c r="Q14" s="8" t="s">
        <v>49</v>
      </c>
      <c r="R14" s="1">
        <f>R13*B2/R12/1000</f>
        <v>179.01869576397945</v>
      </c>
    </row>
    <row r="15" spans="1:18" ht="19.5" thickBot="1" x14ac:dyDescent="0.45">
      <c r="A15" s="1" t="s">
        <v>6</v>
      </c>
      <c r="B15" s="1">
        <v>0.2</v>
      </c>
      <c r="I15" s="6" t="s">
        <v>31</v>
      </c>
      <c r="J15" s="1" t="s">
        <v>32</v>
      </c>
      <c r="K15" s="6" t="s">
        <v>51</v>
      </c>
      <c r="L15" s="1">
        <v>600</v>
      </c>
      <c r="M15" s="2" t="s">
        <v>47</v>
      </c>
      <c r="N15" s="1">
        <v>20</v>
      </c>
      <c r="O15" s="2" t="s">
        <v>43</v>
      </c>
      <c r="P15" s="7">
        <v>10</v>
      </c>
      <c r="Q15" s="9" t="s">
        <v>52</v>
      </c>
      <c r="R15" s="10">
        <f>L15-R14-50</f>
        <v>370.98130423602055</v>
      </c>
    </row>
    <row r="16" spans="1:18" ht="19.5" thickBot="1" x14ac:dyDescent="0.45">
      <c r="A16" s="1" t="s">
        <v>7</v>
      </c>
      <c r="B16" s="1">
        <v>42</v>
      </c>
      <c r="Q16" s="11" t="s">
        <v>53</v>
      </c>
      <c r="R16" s="12">
        <f>-1*R15/((P13-P14-P16)/(12-P12)*LOG(P12/12))</f>
        <v>277.28397387440839</v>
      </c>
    </row>
    <row r="17" spans="1:16" x14ac:dyDescent="0.4">
      <c r="P17" t="s">
        <v>60</v>
      </c>
    </row>
    <row r="18" spans="1:16" x14ac:dyDescent="0.4">
      <c r="P18" t="s">
        <v>63</v>
      </c>
    </row>
    <row r="19" spans="1:16" x14ac:dyDescent="0.4">
      <c r="A19" t="s">
        <v>23</v>
      </c>
    </row>
    <row r="20" spans="1:16" x14ac:dyDescent="0.4">
      <c r="A20">
        <v>0.1</v>
      </c>
      <c r="B20">
        <v>1200</v>
      </c>
    </row>
    <row r="21" spans="1:16" x14ac:dyDescent="0.4">
      <c r="A21">
        <v>2</v>
      </c>
      <c r="B21">
        <v>100</v>
      </c>
    </row>
    <row r="23" spans="1:16" x14ac:dyDescent="0.4">
      <c r="B23" t="s">
        <v>24</v>
      </c>
      <c r="C23" t="s">
        <v>27</v>
      </c>
    </row>
    <row r="24" spans="1:16" x14ac:dyDescent="0.4">
      <c r="A24">
        <v>0.1</v>
      </c>
      <c r="B24">
        <f>F9*1000/(F6^2)</f>
        <v>428.22407934306688</v>
      </c>
      <c r="C24">
        <f>H29*F6</f>
        <v>30.694444444444446</v>
      </c>
    </row>
    <row r="25" spans="1:16" x14ac:dyDescent="0.4">
      <c r="A25">
        <v>2</v>
      </c>
      <c r="B25">
        <f>B24</f>
        <v>428.22407934306688</v>
      </c>
    </row>
    <row r="27" spans="1:16" x14ac:dyDescent="0.4">
      <c r="A27" t="s">
        <v>26</v>
      </c>
    </row>
    <row r="28" spans="1:16" x14ac:dyDescent="0.4">
      <c r="A28" s="5">
        <v>100</v>
      </c>
      <c r="B28" s="5">
        <v>400</v>
      </c>
    </row>
    <row r="29" spans="1:16" x14ac:dyDescent="0.4">
      <c r="A29" s="5">
        <v>1000</v>
      </c>
      <c r="B29">
        <v>40</v>
      </c>
      <c r="E29" s="2" t="s">
        <v>39</v>
      </c>
      <c r="F29" s="1">
        <v>90</v>
      </c>
      <c r="G29" s="4" t="s">
        <v>38</v>
      </c>
      <c r="H29" s="1">
        <f>(B4+B6)*B5/(B3/2*F29/100)</f>
        <v>1.8055555555555556</v>
      </c>
    </row>
    <row r="31" spans="1:16" x14ac:dyDescent="0.4">
      <c r="K31" t="s">
        <v>61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kentamu</dc:creator>
  <cp:lastModifiedBy>kentamu</cp:lastModifiedBy>
  <dcterms:created xsi:type="dcterms:W3CDTF">2019-07-06T12:33:09Z</dcterms:created>
  <dcterms:modified xsi:type="dcterms:W3CDTF">2019-07-28T12:39:59Z</dcterms:modified>
</cp:coreProperties>
</file>